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1" activeTab="4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<sst xmlns="http://schemas.openxmlformats.org/spreadsheetml/2006/main" count="2964" uniqueCount="925">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</sst>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_)"/>
    <numFmt numFmtId="179" formatCode="0.00_)"/>
    <numFmt numFmtId="180" formatCode="General_)"/>
    <numFmt numFmtId="181" formatCode="0.0_)"/>
    <numFmt numFmtId="182" formatCode="0.00000000_)"/>
    <numFmt numFmtId="183" formatCode="&quot;$&quot;#,##0.00_);[Red]&quot;$&quot;#,##0.00"/>
    <numFmt numFmtId="184" formatCode="&quot;$&quot;#,##0.00_);&quot;$&quot;#,##0.00"/>
    <numFmt numFmtId="185" formatCode="&quot;$&quot;#,##0.0000_);\(&quot;$&quot;#,##0.0000\)"/>
    <numFmt numFmtId="186" formatCode="m"/>
    <numFmt numFmtId="187" formatCode="0.000"/>
    <numFmt numFmtId="188" formatCode="0._)"/>
    <numFmt numFmtId="189" formatCode="0.0000"/>
    <numFmt numFmtId="190" formatCode=".0000_)"/>
    <numFmt numFmtId="191" formatCode="00"/>
    <numFmt numFmtId="192" formatCode="000"/>
    <numFmt numFmtId="193" formatCode=".000_)"/>
    <numFmt numFmtId="194" formatCode=".0000"/>
    <numFmt numFmtId="195" formatCode="0.0"/>
    <numFmt numFmtId="196" formatCode="mm/dd/yy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79" fontId="0" fillId="0" borderId="0" xfId="0" applyNumberFormat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166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6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166" fontId="0" fillId="4" borderId="19" xfId="0" applyNumberForma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/>
      <protection locked="0"/>
    </xf>
    <xf numFmtId="166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166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78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80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80" fontId="0" fillId="4" borderId="33" xfId="0" applyNumberFormat="1" applyFill="1" applyBorder="1" applyAlignment="1" applyProtection="1">
      <alignment/>
      <protection/>
    </xf>
    <xf numFmtId="166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78" fontId="0" fillId="4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4" borderId="0" xfId="58" applyFill="1">
      <alignment/>
      <protection/>
    </xf>
    <xf numFmtId="0" fontId="4" fillId="4" borderId="0" xfId="58" applyFill="1" applyAlignment="1">
      <alignment horizontal="right"/>
      <protection/>
    </xf>
    <xf numFmtId="0" fontId="4" fillId="4" borderId="0" xfId="58" applyFill="1" applyProtection="1">
      <alignment/>
      <protection/>
    </xf>
    <xf numFmtId="0" fontId="4" fillId="4" borderId="0" xfId="58" applyFill="1" applyAlignment="1">
      <alignment horizontal="center"/>
      <protection/>
    </xf>
    <xf numFmtId="0" fontId="4" fillId="4" borderId="15" xfId="58" applyFill="1" applyBorder="1">
      <alignment/>
      <protection/>
    </xf>
    <xf numFmtId="0" fontId="4" fillId="4" borderId="15" xfId="58" applyFill="1" applyBorder="1" applyProtection="1">
      <alignment/>
      <protection/>
    </xf>
    <xf numFmtId="0" fontId="4" fillId="4" borderId="16" xfId="58" applyFill="1" applyBorder="1">
      <alignment/>
      <protection/>
    </xf>
    <xf numFmtId="178" fontId="13" fillId="4" borderId="26" xfId="0" applyNumberFormat="1" applyFont="1" applyFill="1" applyBorder="1" applyAlignment="1" applyProtection="1">
      <alignment horizontal="centerContinuous"/>
      <protection/>
    </xf>
    <xf numFmtId="178" fontId="13" fillId="4" borderId="25" xfId="0" applyNumberFormat="1" applyFon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/>
      <protection/>
    </xf>
    <xf numFmtId="178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78" fontId="0" fillId="4" borderId="0" xfId="0" applyNumberForma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 horizontal="right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178" fontId="11" fillId="7" borderId="37" xfId="0" applyNumberFormat="1" applyFont="1" applyFill="1" applyBorder="1" applyAlignment="1" applyProtection="1">
      <alignment horizontal="centerContinuous"/>
      <protection/>
    </xf>
    <xf numFmtId="178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78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80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80" fontId="9" fillId="7" borderId="41" xfId="0" applyNumberFormat="1" applyFont="1" applyFill="1" applyBorder="1" applyAlignment="1" applyProtection="1">
      <alignment/>
      <protection/>
    </xf>
    <xf numFmtId="180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78" fontId="10" fillId="4" borderId="28" xfId="0" applyNumberFormat="1" applyFont="1" applyFill="1" applyBorder="1" applyAlignment="1" applyProtection="1">
      <alignment horizontal="centerContinuous"/>
      <protection/>
    </xf>
    <xf numFmtId="178" fontId="7" fillId="4" borderId="0" xfId="0" applyNumberFormat="1" applyFont="1" applyFill="1" applyBorder="1" applyAlignment="1" applyProtection="1">
      <alignment horizontal="centerContinuous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78" fontId="8" fillId="4" borderId="0" xfId="0" applyNumberFormat="1" applyFont="1" applyFill="1" applyBorder="1" applyAlignment="1" applyProtection="1">
      <alignment vertical="top"/>
      <protection/>
    </xf>
    <xf numFmtId="178" fontId="8" fillId="4" borderId="0" xfId="0" applyNumberFormat="1" applyFont="1" applyFill="1" applyBorder="1" applyAlignment="1" applyProtection="1">
      <alignment horizontal="center" vertical="top"/>
      <protection/>
    </xf>
    <xf numFmtId="178" fontId="8" fillId="4" borderId="0" xfId="0" applyNumberFormat="1" applyFont="1" applyFill="1" applyBorder="1" applyAlignment="1" applyProtection="1">
      <alignment horizontal="left" vertical="top"/>
      <protection/>
    </xf>
    <xf numFmtId="178" fontId="8" fillId="4" borderId="29" xfId="0" applyNumberFormat="1" applyFont="1" applyFill="1" applyBorder="1" applyAlignment="1" applyProtection="1">
      <alignment horizontal="left" vertical="top"/>
      <protection/>
    </xf>
    <xf numFmtId="178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82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58" applyFont="1" applyFill="1">
      <alignment/>
      <protection/>
    </xf>
    <xf numFmtId="0" fontId="4" fillId="4" borderId="0" xfId="58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78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78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78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78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78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84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78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166" fontId="0" fillId="0" borderId="0" xfId="0" applyNumberFormat="1" applyAlignment="1">
      <alignment/>
    </xf>
    <xf numFmtId="180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87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79" fontId="21" fillId="4" borderId="0" xfId="0" applyNumberFormat="1" applyFont="1" applyFill="1" applyAlignment="1" applyProtection="1">
      <alignment vertical="center"/>
      <protection/>
    </xf>
    <xf numFmtId="179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79" fontId="21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 applyProtection="1">
      <alignment vertical="center"/>
      <protection/>
    </xf>
    <xf numFmtId="190" fontId="22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>
      <alignment vertical="center"/>
    </xf>
    <xf numFmtId="190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79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90" fontId="22" fillId="4" borderId="0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Border="1" applyAlignment="1">
      <alignment vertical="center"/>
    </xf>
    <xf numFmtId="179" fontId="21" fillId="4" borderId="29" xfId="0" applyNumberFormat="1" applyFont="1" applyFill="1" applyBorder="1" applyAlignment="1">
      <alignment vertical="center"/>
    </xf>
    <xf numFmtId="179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91" fontId="9" fillId="7" borderId="55" xfId="0" applyNumberFormat="1" applyFont="1" applyFill="1" applyBorder="1" applyAlignment="1">
      <alignment horizontal="center"/>
    </xf>
    <xf numFmtId="192" fontId="9" fillId="7" borderId="55" xfId="0" applyNumberFormat="1" applyFont="1" applyFill="1" applyBorder="1" applyAlignment="1">
      <alignment horizontal="center"/>
    </xf>
    <xf numFmtId="193" fontId="9" fillId="7" borderId="62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59" applyFont="1" applyFill="1" applyBorder="1" applyAlignment="1">
      <alignment horizontal="centerContinuous"/>
      <protection/>
    </xf>
    <xf numFmtId="0" fontId="6" fillId="4" borderId="26" xfId="59" applyFont="1" applyFill="1" applyBorder="1" applyAlignment="1">
      <alignment horizontal="centerContinuous"/>
      <protection/>
    </xf>
    <xf numFmtId="0" fontId="6" fillId="4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4" borderId="28" xfId="59" applyFont="1" applyFill="1" applyBorder="1" applyAlignment="1">
      <alignment horizontal="centerContinuous"/>
      <protection/>
    </xf>
    <xf numFmtId="0" fontId="4" fillId="4" borderId="0" xfId="59" applyFill="1" applyBorder="1" applyAlignment="1">
      <alignment horizontal="centerContinuous"/>
      <protection/>
    </xf>
    <xf numFmtId="0" fontId="4" fillId="4" borderId="29" xfId="59" applyFill="1" applyBorder="1" applyAlignment="1">
      <alignment horizontal="centerContinuous"/>
      <protection/>
    </xf>
    <xf numFmtId="0" fontId="4" fillId="4" borderId="28" xfId="59" applyFill="1" applyBorder="1">
      <alignment/>
      <protection/>
    </xf>
    <xf numFmtId="0" fontId="4" fillId="4" borderId="0" xfId="59" applyFill="1" applyBorder="1" applyAlignment="1">
      <alignment horizontal="center"/>
      <protection/>
    </xf>
    <xf numFmtId="0" fontId="4" fillId="4" borderId="0" xfId="59" applyFill="1" applyBorder="1">
      <alignment/>
      <protection/>
    </xf>
    <xf numFmtId="0" fontId="4" fillId="4" borderId="29" xfId="59" applyFill="1" applyBorder="1">
      <alignment/>
      <protection/>
    </xf>
    <xf numFmtId="0" fontId="4" fillId="4" borderId="50" xfId="59" applyFill="1" applyBorder="1" applyAlignment="1">
      <alignment horizontal="center"/>
      <protection/>
    </xf>
    <xf numFmtId="0" fontId="4" fillId="4" borderId="40" xfId="59" applyFill="1" applyBorder="1" applyAlignment="1">
      <alignment horizontal="center"/>
      <protection/>
    </xf>
    <xf numFmtId="0" fontId="4" fillId="4" borderId="47" xfId="59" applyFill="1" applyBorder="1" applyAlignment="1">
      <alignment horizontal="center"/>
      <protection/>
    </xf>
    <xf numFmtId="0" fontId="4" fillId="4" borderId="49" xfId="59" applyFill="1" applyBorder="1" applyAlignment="1">
      <alignment horizontal="center"/>
      <protection/>
    </xf>
    <xf numFmtId="0" fontId="4" fillId="4" borderId="51" xfId="59" applyFill="1" applyBorder="1" applyAlignment="1">
      <alignment horizontal="center"/>
      <protection/>
    </xf>
    <xf numFmtId="0" fontId="4" fillId="4" borderId="41" xfId="59" applyFill="1" applyBorder="1" applyAlignment="1">
      <alignment horizontal="center"/>
      <protection/>
    </xf>
    <xf numFmtId="0" fontId="4" fillId="4" borderId="63" xfId="59" applyFill="1" applyBorder="1" applyAlignment="1">
      <alignment horizontal="center"/>
      <protection/>
    </xf>
    <xf numFmtId="0" fontId="4" fillId="4" borderId="52" xfId="59" applyFill="1" applyBorder="1" applyAlignment="1">
      <alignment horizontal="center"/>
      <protection/>
    </xf>
    <xf numFmtId="0" fontId="4" fillId="4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4" borderId="49" xfId="59" applyFill="1" applyBorder="1">
      <alignment/>
      <protection/>
    </xf>
    <xf numFmtId="0" fontId="4" fillId="4" borderId="47" xfId="59" applyFill="1" applyBorder="1">
      <alignment/>
      <protection/>
    </xf>
    <xf numFmtId="0" fontId="4" fillId="4" borderId="0" xfId="59" applyFill="1" applyBorder="1" applyAlignment="1">
      <alignment horizontal="right"/>
      <protection/>
    </xf>
    <xf numFmtId="0" fontId="4" fillId="4" borderId="30" xfId="59" applyFill="1" applyBorder="1">
      <alignment/>
      <protection/>
    </xf>
    <xf numFmtId="0" fontId="4" fillId="4" borderId="31" xfId="59" applyFill="1" applyBorder="1">
      <alignment/>
      <protection/>
    </xf>
    <xf numFmtId="0" fontId="4" fillId="4" borderId="32" xfId="59" applyFill="1" applyBorder="1">
      <alignment/>
      <protection/>
    </xf>
    <xf numFmtId="0" fontId="4" fillId="4" borderId="51" xfId="59" applyFont="1" applyFill="1" applyBorder="1" applyAlignment="1">
      <alignment horizontal="center"/>
      <protection/>
    </xf>
    <xf numFmtId="0" fontId="4" fillId="4" borderId="28" xfId="59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166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166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166" fontId="0" fillId="7" borderId="31" xfId="0" applyNumberFormat="1" applyFont="1" applyFill="1" applyBorder="1" applyAlignment="1">
      <alignment horizontal="left"/>
    </xf>
    <xf numFmtId="166" fontId="0" fillId="7" borderId="38" xfId="0" applyNumberFormat="1" applyFill="1" applyBorder="1" applyAlignment="1">
      <alignment horizontal="right"/>
    </xf>
    <xf numFmtId="166" fontId="0" fillId="7" borderId="38" xfId="0" applyNumberFormat="1" applyFont="1" applyFill="1" applyBorder="1" applyAlignment="1">
      <alignment horizontal="left"/>
    </xf>
    <xf numFmtId="166" fontId="0" fillId="7" borderId="39" xfId="0" applyNumberFormat="1" applyFill="1" applyBorder="1" applyAlignment="1">
      <alignment horizontal="left"/>
    </xf>
    <xf numFmtId="166" fontId="0" fillId="7" borderId="0" xfId="0" applyNumberFormat="1" applyFont="1" applyFill="1" applyBorder="1" applyAlignment="1">
      <alignment horizontal="right"/>
    </xf>
    <xf numFmtId="166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58" applyFont="1" applyFill="1" applyBorder="1" applyAlignment="1">
      <alignment horizontal="centerContinuous"/>
      <protection/>
    </xf>
    <xf numFmtId="0" fontId="12" fillId="4" borderId="13" xfId="58" applyFont="1" applyFill="1" applyBorder="1" applyAlignment="1">
      <alignment horizontal="centerContinuous"/>
      <protection/>
    </xf>
    <xf numFmtId="0" fontId="12" fillId="4" borderId="14" xfId="58" applyFont="1" applyFill="1" applyBorder="1" applyAlignment="1">
      <alignment horizontal="centerContinuous"/>
      <protection/>
    </xf>
    <xf numFmtId="0" fontId="4" fillId="4" borderId="0" xfId="58" applyFont="1" applyFill="1" applyAlignment="1">
      <alignment horizontal="right"/>
      <protection/>
    </xf>
    <xf numFmtId="0" fontId="4" fillId="4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4" borderId="18" xfId="58" applyFill="1" applyBorder="1" applyAlignment="1">
      <alignment/>
      <protection/>
    </xf>
    <xf numFmtId="0" fontId="4" fillId="4" borderId="19" xfId="58" applyFill="1" applyBorder="1" applyAlignment="1">
      <alignment/>
      <protection/>
    </xf>
    <xf numFmtId="0" fontId="4" fillId="4" borderId="21" xfId="58" applyFill="1" applyBorder="1" applyAlignment="1">
      <alignment/>
      <protection/>
    </xf>
    <xf numFmtId="0" fontId="4" fillId="4" borderId="15" xfId="58" applyFont="1" applyFill="1" applyBorder="1" applyAlignment="1">
      <alignment horizontal="centerContinuous"/>
      <protection/>
    </xf>
    <xf numFmtId="0" fontId="4" fillId="4" borderId="0" xfId="58" applyFill="1" applyAlignment="1">
      <alignment horizontal="centerContinuous"/>
      <protection/>
    </xf>
    <xf numFmtId="0" fontId="4" fillId="4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78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9" fontId="0" fillId="0" borderId="0" xfId="0" applyNumberFormat="1" applyAlignment="1" applyProtection="1">
      <alignment horizontal="centerContinuous"/>
      <protection/>
    </xf>
    <xf numFmtId="18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9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93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93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93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6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6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6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6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5"/>
        <c:noMultiLvlLbl val="0"/>
      </c:cat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L21" sqref="L21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40000</v>
      </c>
      <c r="D4" s="149"/>
      <c r="E4" s="76">
        <v>235</v>
      </c>
      <c r="F4" s="18"/>
      <c r="G4" s="38" t="s">
        <v>7</v>
      </c>
      <c r="H4" s="45">
        <v>1256</v>
      </c>
      <c r="I4" s="39"/>
      <c r="J4" s="47" t="s">
        <v>8</v>
      </c>
      <c r="K4" s="46">
        <v>38979</v>
      </c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-38979</v>
      </c>
      <c r="I16" s="39"/>
      <c r="J16" s="47" t="s">
        <v>16</v>
      </c>
      <c r="K16" s="48">
        <f>SUM(K4-K8+K11)</f>
        <v>38979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-77958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40235</v>
      </c>
      <c r="F20" s="21"/>
      <c r="G20" s="168" t="str">
        <f>IF(J19=0,"",IF(J19&lt;0,"Subtract","Add"))</f>
        <v>Subtract</v>
      </c>
      <c r="H20" s="169">
        <f>IF(J19=0,"",J19)</f>
        <v>-77958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C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zoomScale="75" zoomScaleNormal="75" zoomScalePageLayoutView="0" workbookViewId="0" topLeftCell="A1">
      <selection activeCell="L29" sqref="L29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780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Square Meters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Feet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10.76391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  <v>2690.9775</v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C7" sqref="C7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>
        <v>100000</v>
      </c>
      <c r="D3" s="257" t="s">
        <v>23</v>
      </c>
      <c r="E3" s="18"/>
      <c r="F3" s="18"/>
      <c r="G3" s="28">
        <f>IF(C5="","",PMT((C4/12)/100,C5,-C3))</f>
        <v>8908.286271059997</v>
      </c>
      <c r="H3" s="257" t="s">
        <v>24</v>
      </c>
      <c r="I3" s="62"/>
    </row>
    <row r="4" spans="1:9" ht="15">
      <c r="A4" s="63"/>
      <c r="B4" s="259" t="s">
        <v>25</v>
      </c>
      <c r="C4" s="181">
        <v>12.5</v>
      </c>
      <c r="D4" s="257" t="s">
        <v>26</v>
      </c>
      <c r="E4" s="18"/>
      <c r="F4" s="18"/>
      <c r="G4" s="28">
        <f>IF(C5="","",SUM(G3*C5-C3))</f>
        <v>6899.435252719966</v>
      </c>
      <c r="H4" s="257" t="s">
        <v>27</v>
      </c>
      <c r="I4" s="65"/>
    </row>
    <row r="5" spans="1:9" ht="15">
      <c r="A5" s="63"/>
      <c r="B5" s="311"/>
      <c r="C5" s="3">
        <v>12</v>
      </c>
      <c r="D5" s="257" t="s">
        <v>28</v>
      </c>
      <c r="E5" s="18"/>
      <c r="F5" s="18"/>
      <c r="G5" s="28">
        <f>IF(C5="","",SUM(G3*C5))</f>
        <v>106899.43525271997</v>
      </c>
      <c r="H5" s="257" t="s">
        <v>29</v>
      </c>
      <c r="I5" s="65"/>
    </row>
    <row r="6" spans="1:9" ht="15">
      <c r="A6" s="63"/>
      <c r="B6" s="259" t="s">
        <v>30</v>
      </c>
      <c r="C6" s="188">
        <v>1</v>
      </c>
      <c r="D6" s="258" t="s">
        <v>31</v>
      </c>
      <c r="E6" s="18"/>
      <c r="F6" s="18"/>
      <c r="G6" s="195">
        <f>IF(C5="","",C5/12)</f>
        <v>1</v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 t="str">
        <f>IF(B12="","","Jan")</f>
        <v>Jan</v>
      </c>
      <c r="B12">
        <f>IF(C6=1,1,"")</f>
        <v>1</v>
      </c>
      <c r="C12" s="180">
        <f>IF($C$6=1,C3,"")</f>
        <v>100000</v>
      </c>
      <c r="D12" s="180">
        <f>IF($C$6=1,$C$3*(($C$4/100)/12),"")</f>
        <v>1041.6666666666665</v>
      </c>
      <c r="E12" s="180">
        <f>IF($C$6=1,($C$7+$G$3)-D12,"")</f>
        <v>7866.6196043933305</v>
      </c>
      <c r="F12" s="180">
        <f>IF($C$6=1,C12-E12,"")</f>
        <v>92133.38039560667</v>
      </c>
      <c r="G12" s="180">
        <f>E12</f>
        <v>7866.6196043933305</v>
      </c>
      <c r="H12" s="180">
        <f>D12</f>
        <v>1041.6666666666665</v>
      </c>
    </row>
    <row r="13" spans="1:8" ht="15">
      <c r="A13" s="189" t="str">
        <f>IF(B13="","","Feb")</f>
        <v>Feb</v>
      </c>
      <c r="B13">
        <f>IF(B12=ABS($C$5),"",IF($C$6=2,1,IF(B12="","",IF(F12-$C$7&lt;=0,"",B12+1))))</f>
        <v>2</v>
      </c>
      <c r="C13" s="180">
        <f>IF(B13="","",IF($C$6=2,$C$3,F12))</f>
        <v>92133.38039560667</v>
      </c>
      <c r="D13" s="180">
        <f aca="true" t="shared" si="0" ref="D13:D25">IF(B13="","",C13*(($C$4/100)/12))</f>
        <v>959.7227124542361</v>
      </c>
      <c r="E13" s="180">
        <f aca="true" t="shared" si="1" ref="E13:E76">IF(B13="","",IF(C13+D13&lt;($G$3+$C$7),(C13+D13)-D13,($G$3+$C$7)-D13))</f>
        <v>7948.563558605761</v>
      </c>
      <c r="F13" s="180">
        <f>IF(B13="","",C13-E13)</f>
        <v>84184.81683700091</v>
      </c>
      <c r="G13" s="180">
        <f>IF(B13="","",G12+E13)</f>
        <v>15815.183162999092</v>
      </c>
      <c r="H13" s="180">
        <f aca="true" t="shared" si="2" ref="H13:H76">IF(B13="","",H12+D13)</f>
        <v>2001.3893791209025</v>
      </c>
    </row>
    <row r="14" spans="1:8" ht="15">
      <c r="A14" s="189" t="str">
        <f>IF(B14="","","Mar")</f>
        <v>Mar</v>
      </c>
      <c r="B14">
        <f>IF(B13=ABS($C$5),"",IF($C$6=3,1,IF(B13="","",IF(F13-$C$7&lt;=0,"",B13+1))))</f>
        <v>3</v>
      </c>
      <c r="C14" s="180">
        <f>IF(B14="","",IF($C$6=3,$C$3,F13))</f>
        <v>84184.81683700091</v>
      </c>
      <c r="D14" s="180">
        <f t="shared" si="0"/>
        <v>876.9251753854261</v>
      </c>
      <c r="E14" s="180">
        <f t="shared" si="1"/>
        <v>8031.361095674571</v>
      </c>
      <c r="F14" s="180">
        <f aca="true" t="shared" si="3" ref="F14:F29">IF(B14="","",C14-E14)</f>
        <v>76153.45574132634</v>
      </c>
      <c r="G14" s="180">
        <f aca="true" t="shared" si="4" ref="G14:G29">IF(B14="","",G13+E14)</f>
        <v>23846.54425867366</v>
      </c>
      <c r="H14" s="180">
        <f t="shared" si="2"/>
        <v>2878.3145545063285</v>
      </c>
    </row>
    <row r="15" spans="1:8" ht="15">
      <c r="A15" s="189" t="str">
        <f>IF(B15="","","Apr")</f>
        <v>Apr</v>
      </c>
      <c r="B15">
        <f>IF(B14=ABS($C$5),"",IF($C$6=4,1,IF(B14="","",IF(F14-$C$7&lt;=0,"",B14+1))))</f>
        <v>4</v>
      </c>
      <c r="C15" s="180">
        <f>IF(B15="","",IF($C$6=4,$C$3,F14))</f>
        <v>76153.45574132634</v>
      </c>
      <c r="D15" s="180">
        <f t="shared" si="0"/>
        <v>793.2651639721494</v>
      </c>
      <c r="E15" s="180">
        <f t="shared" si="1"/>
        <v>8115.021107087847</v>
      </c>
      <c r="F15" s="180">
        <f t="shared" si="3"/>
        <v>68038.4346342385</v>
      </c>
      <c r="G15" s="180">
        <f t="shared" si="4"/>
        <v>31961.565365761508</v>
      </c>
      <c r="H15" s="180">
        <f t="shared" si="2"/>
        <v>3671.579718478478</v>
      </c>
    </row>
    <row r="16" spans="1:8" ht="15">
      <c r="A16" s="189" t="str">
        <f>IF(B16="","","May")</f>
        <v>May</v>
      </c>
      <c r="B16">
        <f>IF(B15=ABS($C$5),"",IF($C$6=5,1,IF(B15="","",IF(F15-$C$7&lt;=0,"",B15+1))))</f>
        <v>5</v>
      </c>
      <c r="C16" s="180">
        <f>IF(B16="","",IF($C$6=5,$C$3,F15))</f>
        <v>68038.4346342385</v>
      </c>
      <c r="D16" s="180">
        <f t="shared" si="0"/>
        <v>708.733694106651</v>
      </c>
      <c r="E16" s="180">
        <f t="shared" si="1"/>
        <v>8199.552576953345</v>
      </c>
      <c r="F16" s="180">
        <f t="shared" si="3"/>
        <v>59838.882057285155</v>
      </c>
      <c r="G16" s="180">
        <f t="shared" si="4"/>
        <v>40161.11794271485</v>
      </c>
      <c r="H16" s="180">
        <f t="shared" si="2"/>
        <v>4380.313412585128</v>
      </c>
    </row>
    <row r="17" spans="1:8" ht="15">
      <c r="A17" s="189" t="str">
        <f>IF(B17="","","Jun")</f>
        <v>Jun</v>
      </c>
      <c r="B17">
        <f>IF(B16=ABS($C$5),"",IF($C$6=6,1,IF(B16="","",IF(F16-$C$7&lt;=0,"",B16+1))))</f>
        <v>6</v>
      </c>
      <c r="C17" s="180">
        <f>IF(B17="","",IF($C$6=6,$C$3,F16))</f>
        <v>59838.882057285155</v>
      </c>
      <c r="D17" s="180">
        <f t="shared" si="0"/>
        <v>623.3216880967203</v>
      </c>
      <c r="E17" s="180">
        <f t="shared" si="1"/>
        <v>8284.964582963275</v>
      </c>
      <c r="F17" s="180">
        <f t="shared" si="3"/>
        <v>51553.917474321875</v>
      </c>
      <c r="G17" s="180">
        <f t="shared" si="4"/>
        <v>48446.082525678125</v>
      </c>
      <c r="H17" s="180">
        <f t="shared" si="2"/>
        <v>5003.635100681849</v>
      </c>
    </row>
    <row r="18" spans="1:8" ht="15">
      <c r="A18" s="189" t="str">
        <f>IF(B18="","","Jul")</f>
        <v>Jul</v>
      </c>
      <c r="B18">
        <f>IF(B17=ABS($C$5),"",IF($C$6=7,1,IF(B17="","",IF(F17-$C$7&lt;=0,"",B17+1))))</f>
        <v>7</v>
      </c>
      <c r="C18" s="180">
        <f>IF(B18="","",IF($C$6=7,$C$3,F17))</f>
        <v>51553.917474321875</v>
      </c>
      <c r="D18" s="180">
        <f t="shared" si="0"/>
        <v>537.0199736908528</v>
      </c>
      <c r="E18" s="180">
        <f t="shared" si="1"/>
        <v>8371.266297369144</v>
      </c>
      <c r="F18" s="180">
        <f t="shared" si="3"/>
        <v>43182.65117695273</v>
      </c>
      <c r="G18" s="180">
        <f t="shared" si="4"/>
        <v>56817.34882304727</v>
      </c>
      <c r="H18" s="180">
        <f t="shared" si="2"/>
        <v>5540.655074372701</v>
      </c>
    </row>
    <row r="19" spans="1:9" ht="15">
      <c r="A19" s="189" t="str">
        <f>IF(B19="","","Aug")</f>
        <v>Aug</v>
      </c>
      <c r="B19">
        <f>IF(B18=ABS($C$5),"",IF($C$6=8,1,IF(B18="","",IF(F18-$C$7&lt;=0,"",B18+1))))</f>
        <v>8</v>
      </c>
      <c r="C19" s="180">
        <f>IF(B19="","",IF($C$6=8,$C$3,F18))</f>
        <v>43182.65117695273</v>
      </c>
      <c r="D19" s="180">
        <f t="shared" si="0"/>
        <v>449.8192830932576</v>
      </c>
      <c r="E19" s="180">
        <f t="shared" si="1"/>
        <v>8458.466987966738</v>
      </c>
      <c r="F19" s="180">
        <f t="shared" si="3"/>
        <v>34724.18418898599</v>
      </c>
      <c r="G19" s="180">
        <f t="shared" si="4"/>
        <v>65275.81581101401</v>
      </c>
      <c r="H19" s="180">
        <f t="shared" si="2"/>
        <v>5990.474357465959</v>
      </c>
      <c r="I19" s="183" t="str">
        <f>IF(C6="","","Principle")</f>
        <v>Principle</v>
      </c>
    </row>
    <row r="20" spans="1:9" ht="15">
      <c r="A20" s="189" t="str">
        <f>IF(B20="","","Sep")</f>
        <v>Sep</v>
      </c>
      <c r="B20">
        <f>IF(B19=ABS($C$5),"",IF($C$6=9,1,IF(B19="","",IF(F19-$C$7&lt;=0,"",B19+1))))</f>
        <v>9</v>
      </c>
      <c r="C20" s="180">
        <f>IF(B20="","",IF($C$6=9,$C$3,F19))</f>
        <v>34724.18418898599</v>
      </c>
      <c r="D20" s="180">
        <f t="shared" si="0"/>
        <v>361.7102519686041</v>
      </c>
      <c r="E20" s="180">
        <f t="shared" si="1"/>
        <v>8546.576019091393</v>
      </c>
      <c r="F20" s="180">
        <f t="shared" si="3"/>
        <v>26177.6081698946</v>
      </c>
      <c r="G20" s="180">
        <f t="shared" si="4"/>
        <v>73822.3918301054</v>
      </c>
      <c r="H20" s="180">
        <f t="shared" si="2"/>
        <v>6352.184609434563</v>
      </c>
      <c r="I20" s="184">
        <f>IF(C6="","",SUM(E12:E23))</f>
        <v>99999.99999999964</v>
      </c>
    </row>
    <row r="21" spans="1:9" ht="15">
      <c r="A21" s="189" t="str">
        <f>IF(B21="","","Oct")</f>
        <v>Oct</v>
      </c>
      <c r="B21">
        <f>IF(B20=ABS($C$5),"",IF($C$6=10,1,IF(B20="","",IF(F20-$C$7&lt;=0,"",B20+1))))</f>
        <v>10</v>
      </c>
      <c r="C21" s="180">
        <f>IF(B21="","",IF($C$6=10,$C$3,F20))</f>
        <v>26177.6081698946</v>
      </c>
      <c r="D21" s="180">
        <f t="shared" si="0"/>
        <v>272.68341843640206</v>
      </c>
      <c r="E21" s="180">
        <f t="shared" si="1"/>
        <v>8635.602852623595</v>
      </c>
      <c r="F21" s="180">
        <f t="shared" si="3"/>
        <v>17542.005317271003</v>
      </c>
      <c r="G21" s="180">
        <f t="shared" si="4"/>
        <v>82457.99468272898</v>
      </c>
      <c r="H21" s="180">
        <f t="shared" si="2"/>
        <v>6624.868027870965</v>
      </c>
      <c r="I21" s="183" t="str">
        <f>IF(C6="","","Interest")</f>
        <v>Interest</v>
      </c>
    </row>
    <row r="22" spans="1:9" ht="15">
      <c r="A22" s="189" t="str">
        <f>IF(B22="","","Nov")</f>
        <v>Nov</v>
      </c>
      <c r="B22">
        <f>IF(B21=ABS($C$5),"",IF($C$6=11,1,IF(B21="","",IF(F21-$C$7&lt;=0,"",B21+1))))</f>
        <v>11</v>
      </c>
      <c r="C22" s="180">
        <f>IF(B22="","",IF($C$6=11,$C$3,F21))</f>
        <v>17542.005317271003</v>
      </c>
      <c r="D22" s="180">
        <f t="shared" si="0"/>
        <v>182.72922205490627</v>
      </c>
      <c r="E22" s="180">
        <f t="shared" si="1"/>
        <v>8725.55704900509</v>
      </c>
      <c r="F22" s="180">
        <f t="shared" si="3"/>
        <v>8816.448268265913</v>
      </c>
      <c r="G22" s="180">
        <f t="shared" si="4"/>
        <v>91183.55173173407</v>
      </c>
      <c r="H22" s="180">
        <f t="shared" si="2"/>
        <v>6807.597249925871</v>
      </c>
      <c r="I22" s="184">
        <f>IF(C6="","",SUM(D12:D23))</f>
        <v>6899.435252720308</v>
      </c>
    </row>
    <row r="23" spans="1:9" ht="15">
      <c r="A23" s="190" t="str">
        <f>IF(B23="","","Dec")</f>
        <v>Dec</v>
      </c>
      <c r="B23" s="185">
        <f>IF(B22=ABS($C$5),"",IF($C$6=12,1,IF(B22="","",IF(F22-$C$7&lt;=0,"",B22+1))))</f>
        <v>12</v>
      </c>
      <c r="C23" s="186">
        <f>IF(B23="","",IF($C$6=12,$C$3,F22))</f>
        <v>8816.448268265913</v>
      </c>
      <c r="D23" s="186">
        <f t="shared" si="0"/>
        <v>91.83800279443659</v>
      </c>
      <c r="E23" s="186">
        <f t="shared" si="1"/>
        <v>8816.44826826556</v>
      </c>
      <c r="F23" s="186">
        <f t="shared" si="3"/>
        <v>3.5288394428789616E-10</v>
      </c>
      <c r="G23" s="186">
        <f t="shared" si="4"/>
        <v>99999.99999999964</v>
      </c>
      <c r="H23" s="186">
        <f t="shared" si="2"/>
        <v>6899.435252720308</v>
      </c>
      <c r="I23" s="187" t="str">
        <f>IF(C6="","","End of year 1")</f>
        <v>End of year 1</v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4" sqref="D4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138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5.2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1581.664</v>
      </c>
      <c r="G6" s="85"/>
      <c r="H6" s="88">
        <f>IF(D5="","",(((D3*6.2)+(D4*12.7)+65)-D5*6.8)*K5)</f>
        <v>1095.696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138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3559.7334508278486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0.9691736888888889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0.7753389511111111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tabSelected="1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25.4</v>
      </c>
      <c r="C3" s="15" t="s">
        <v>55</v>
      </c>
      <c r="D3" s="16">
        <f>IF(B3="","",+B3/25.4)</f>
        <v>0.9999999999999999</v>
      </c>
      <c r="E3" s="5" t="s">
        <v>56</v>
      </c>
      <c r="F3" s="3">
        <v>1</v>
      </c>
      <c r="G3" s="15" t="s">
        <v>57</v>
      </c>
      <c r="H3" s="16">
        <f>IF(F3="","",+F3*25.4)</f>
        <v>25.400000000000002</v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>
        <v>1</v>
      </c>
      <c r="G4" s="15" t="s">
        <v>57</v>
      </c>
      <c r="H4" s="16">
        <f>IF(F4="","",+F4*2.54)</f>
        <v>2.54</v>
      </c>
      <c r="I4" s="17" t="s">
        <v>60</v>
      </c>
    </row>
    <row r="5" spans="2:9" ht="15">
      <c r="B5" s="14">
        <v>250</v>
      </c>
      <c r="C5" s="15" t="s">
        <v>61</v>
      </c>
      <c r="D5" s="18">
        <f>IF(B5="","",SUM(B5/0.3048))</f>
        <v>820.2099737532808</v>
      </c>
      <c r="E5" s="5" t="s">
        <v>62</v>
      </c>
      <c r="F5" s="3">
        <v>1</v>
      </c>
      <c r="G5" s="15" t="s">
        <v>63</v>
      </c>
      <c r="H5" s="18">
        <f>IF(F5="","",SUM(F5*0.3048))</f>
        <v>0.3048</v>
      </c>
      <c r="I5" s="17" t="s">
        <v>64</v>
      </c>
    </row>
    <row r="6" spans="2:9" ht="15">
      <c r="B6" s="14">
        <v>250</v>
      </c>
      <c r="C6" s="15" t="s">
        <v>61</v>
      </c>
      <c r="D6" s="18">
        <f>IF(B6="","",SUM(B6/0.9144))</f>
        <v>273.40332458442697</v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>
        <v>1</v>
      </c>
      <c r="G8" s="15" t="s">
        <v>73</v>
      </c>
      <c r="H8" s="16">
        <f>IF(ISBLANK(F8),"",(5/9)*(F8-32))</f>
        <v>-17.22222222222222</v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>
        <v>63</v>
      </c>
      <c r="C10" s="15" t="s">
        <v>79</v>
      </c>
      <c r="D10" s="18">
        <f>IF(B10="","",B10/0.4535924)</f>
        <v>138.89121599039137</v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>
        <f>IF(B6="","Select the desired conversion from the drop down list above.","")</f>
      </c>
    </row>
    <row r="6" spans="2:3" ht="15">
      <c r="B6" s="382">
        <v>250</v>
      </c>
      <c r="C6" s="362" t="str">
        <f>IF(B6="","Enter the amount to convert in the white cell to the left.",Data!S26)</f>
        <v>Square Meters </v>
      </c>
    </row>
    <row r="7" spans="2:3" ht="15">
      <c r="B7" s="381" t="str">
        <f>IF(B6="","","x  "&amp;Data!S28)</f>
        <v>x  10.76391</v>
      </c>
      <c r="C7" s="362" t="str">
        <f>IF(B6="","The multiplier will automatically appear here.","is the multiplier")</f>
        <v>is the multiplier</v>
      </c>
    </row>
    <row r="8" spans="2:3" ht="15">
      <c r="B8" s="383">
        <f>Data!S29</f>
        <v>2690.9775</v>
      </c>
      <c r="C8" s="362" t="str">
        <f>IF(B6="","This is where the conversion is calculated.",Data!S27)</f>
        <v>Square Feet 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zoomScale="74" zoomScaleNormal="74" zoomScalePageLayoutView="0" workbookViewId="0" topLeftCell="A1">
      <selection activeCell="G37" sqref="G37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Sudharsanan.D</dc:creator>
  <cp:keywords/>
  <dc:description>Enter the required information to obtain a solution to an assortment of mathematical problems.
Updated 8/6/03</dc:description>
  <cp:lastModifiedBy>sbv2ban</cp:lastModifiedBy>
  <cp:lastPrinted>2006-01-11T01:28:40Z</cp:lastPrinted>
  <dcterms:created xsi:type="dcterms:W3CDTF">2001-02-11T20:27:08Z</dcterms:created>
  <dcterms:modified xsi:type="dcterms:W3CDTF">2007-10-30T05:59:34Z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